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\Desktop\raw_diet_research_2019\"/>
    </mc:Choice>
  </mc:AlternateContent>
  <bookViews>
    <workbookView xWindow="0" yWindow="0" windowWidth="21912" windowHeight="65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D5" i="1"/>
  <c r="C5" i="1"/>
  <c r="B5" i="1"/>
  <c r="B4" i="1"/>
  <c r="J4" i="1" l="1"/>
  <c r="I4" i="1"/>
  <c r="H4" i="1"/>
  <c r="D4" i="1"/>
  <c r="C4" i="1"/>
  <c r="J6" i="1"/>
  <c r="I6" i="1"/>
  <c r="H6" i="1"/>
  <c r="D6" i="1"/>
  <c r="C6" i="1"/>
  <c r="B6" i="1"/>
  <c r="J7" i="1"/>
  <c r="I7" i="1"/>
  <c r="H7" i="1"/>
  <c r="D7" i="1"/>
  <c r="C7" i="1"/>
  <c r="B7" i="1"/>
  <c r="B8" i="1"/>
  <c r="H12" i="1" l="1"/>
  <c r="E12" i="1"/>
  <c r="B22" i="1" s="1"/>
  <c r="D11" i="1"/>
  <c r="J10" i="1"/>
  <c r="J3" i="1"/>
  <c r="J9" i="1"/>
  <c r="I9" i="1"/>
  <c r="H9" i="1"/>
  <c r="D9" i="1"/>
  <c r="C9" i="1"/>
  <c r="B9" i="1"/>
  <c r="I2" i="1"/>
  <c r="J15" i="1"/>
  <c r="H15" i="1"/>
  <c r="E15" i="1"/>
  <c r="D15" i="1"/>
  <c r="C15" i="1"/>
  <c r="B15" i="1"/>
  <c r="H14" i="1"/>
  <c r="E14" i="1"/>
  <c r="B14" i="1"/>
  <c r="H13" i="1"/>
  <c r="E13" i="1"/>
  <c r="B13" i="1"/>
  <c r="I8" i="1"/>
  <c r="H8" i="1"/>
  <c r="D8" i="1"/>
  <c r="C8" i="1"/>
  <c r="I3" i="1"/>
  <c r="H3" i="1"/>
  <c r="D3" i="1"/>
  <c r="C3" i="1"/>
  <c r="H2" i="1"/>
  <c r="C18" i="1" s="1"/>
  <c r="D2" i="1"/>
  <c r="B3" i="1"/>
  <c r="C2" i="1"/>
  <c r="B2" i="1"/>
  <c r="C21" i="1" l="1"/>
  <c r="C19" i="1"/>
  <c r="J16" i="1"/>
  <c r="B30" i="1" s="1"/>
  <c r="B23" i="1"/>
  <c r="B27" i="1" s="1"/>
  <c r="D27" i="1" s="1"/>
  <c r="G32" i="1" s="1"/>
  <c r="G34" i="1" s="1"/>
  <c r="I16" i="1"/>
  <c r="B29" i="1" s="1"/>
  <c r="C20" i="1"/>
  <c r="I34" i="1" l="1"/>
  <c r="G33" i="1"/>
  <c r="B24" i="1"/>
  <c r="J24" i="1" s="1"/>
  <c r="G40" i="1" l="1"/>
  <c r="I40" i="1" s="1"/>
  <c r="G36" i="1"/>
  <c r="I36" i="1" s="1"/>
  <c r="G39" i="1"/>
  <c r="I39" i="1" s="1"/>
  <c r="G35" i="1"/>
  <c r="I35" i="1" s="1"/>
  <c r="I33" i="1"/>
  <c r="G38" i="1"/>
  <c r="I38" i="1" s="1"/>
  <c r="G41" i="1"/>
  <c r="I41" i="1" s="1"/>
  <c r="G37" i="1"/>
  <c r="I37" i="1" s="1"/>
  <c r="F24" i="1"/>
  <c r="D24" i="1"/>
  <c r="H24" i="1"/>
</calcChain>
</file>

<file path=xl/sharedStrings.xml><?xml version="1.0" encoding="utf-8"?>
<sst xmlns="http://schemas.openxmlformats.org/spreadsheetml/2006/main" count="68" uniqueCount="58">
  <si>
    <t>Fat</t>
  </si>
  <si>
    <t>Moisture</t>
  </si>
  <si>
    <t>Ash</t>
  </si>
  <si>
    <t>Calories</t>
  </si>
  <si>
    <t>Food and amount</t>
  </si>
  <si>
    <t>Iron</t>
  </si>
  <si>
    <t>Calcium</t>
  </si>
  <si>
    <t>Weight Oz</t>
  </si>
  <si>
    <t>Total Ounces</t>
  </si>
  <si>
    <t>Apples</t>
  </si>
  <si>
    <t>Blue Berry Yogurt</t>
  </si>
  <si>
    <t>Flintstones Complete</t>
  </si>
  <si>
    <t>Protein Grams</t>
  </si>
  <si>
    <t>Carbs Grams</t>
  </si>
  <si>
    <t xml:space="preserve">Carrots </t>
  </si>
  <si>
    <t>Total Carbs</t>
  </si>
  <si>
    <t>Total Fat</t>
  </si>
  <si>
    <t>Total Protein</t>
  </si>
  <si>
    <t>USRDA Iron</t>
  </si>
  <si>
    <t>USRDA Calcium</t>
  </si>
  <si>
    <t xml:space="preserve">Beef Heart </t>
  </si>
  <si>
    <t>Servings</t>
  </si>
  <si>
    <t>Total Grams</t>
  </si>
  <si>
    <t>Percentage Protein</t>
  </si>
  <si>
    <t>Percentage Fat</t>
  </si>
  <si>
    <t>Percentage Carbs</t>
  </si>
  <si>
    <t>Total Pounds</t>
  </si>
  <si>
    <t>Chicken Leg Qtr w/ Skin</t>
  </si>
  <si>
    <t>Chicken Skin (Extra)</t>
  </si>
  <si>
    <t>Egg Shell</t>
  </si>
  <si>
    <t>Egg 1 Large No Shell</t>
  </si>
  <si>
    <t>Fish Oil Capsule Softgel</t>
  </si>
  <si>
    <t>FOS Inulin Powder 1 tbsp</t>
  </si>
  <si>
    <t>Percentage Fiber</t>
  </si>
  <si>
    <t>Total Fiber</t>
  </si>
  <si>
    <t xml:space="preserve"> </t>
  </si>
  <si>
    <t>Total Calories</t>
  </si>
  <si>
    <t>Calories/LB</t>
  </si>
  <si>
    <t>Dog Needs 20 Cal per Lb</t>
  </si>
  <si>
    <t>Dog's Weight</t>
  </si>
  <si>
    <t>Dog's Calories</t>
  </si>
  <si>
    <t>20 lbs</t>
  </si>
  <si>
    <t>400 calories</t>
  </si>
  <si>
    <t>Ground Chuck</t>
  </si>
  <si>
    <t>Chuck Roast</t>
  </si>
  <si>
    <t>Flank Steak</t>
  </si>
  <si>
    <t>20 LB</t>
  </si>
  <si>
    <t>10 LB</t>
  </si>
  <si>
    <t>30 LB</t>
  </si>
  <si>
    <t>60 LB</t>
  </si>
  <si>
    <t>50 LB</t>
  </si>
  <si>
    <t>40 LB</t>
  </si>
  <si>
    <t>70 LB</t>
  </si>
  <si>
    <t>80 LB</t>
  </si>
  <si>
    <t>90 LB</t>
  </si>
  <si>
    <t>Ounces 2x Day</t>
  </si>
  <si>
    <t>Multipllier on Recipe For 7 Days</t>
  </si>
  <si>
    <t>Whole Boston Butt/Pork Roast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</si>
</sst>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_);_(@_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1" xfId="0" applyFon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9" fontId="0" fillId="0" borderId="3" xfId="0" applyNumberFormat="1" applyBorder="1"/>
    <xf numFmtId="0" fontId="0" fillId="2" borderId="3" xfId="0" applyFill="1" applyBorder="1"/>
    <xf numFmtId="43" fontId="0" fillId="2" borderId="3" xfId="0" applyNumberFormat="1" applyFill="1" applyBorder="1"/>
    <xf numFmtId="43" fontId="0" fillId="2" borderId="3" xfId="0" applyNumberFormat="1" applyFont="1" applyFill="1" applyBorder="1"/>
    <xf numFmtId="0" fontId="0" fillId="2" borderId="3" xfId="0" applyFont="1" applyFill="1" applyBorder="1"/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A5" sqref="A5"/>
    </sheetView>
  </sheetViews>
  <sheetFormatPr defaultRowHeight="14.4" x14ac:dyDescent="0.3"/>
  <cols>
    <col min="1" max="1" width="25.88671875" customWidth="1"/>
    <col min="2" max="2" width="14.88671875" customWidth="1"/>
    <col min="3" max="3" width="18.109375" customWidth="1"/>
    <col min="4" max="5" width="17.44140625" customWidth="1"/>
    <col min="6" max="6" width="16.77734375" customWidth="1"/>
    <col min="7" max="7" width="17.44140625" customWidth="1"/>
    <col min="8" max="8" width="16.88671875" customWidth="1"/>
    <col min="9" max="9" width="18" customWidth="1"/>
    <col min="10" max="10" width="18.88671875" customWidth="1"/>
  </cols>
  <sheetData>
    <row r="1" spans="1:11" x14ac:dyDescent="0.3">
      <c r="A1" s="1" t="s">
        <v>4</v>
      </c>
      <c r="B1" s="1" t="s">
        <v>7</v>
      </c>
      <c r="C1" s="1" t="s">
        <v>12</v>
      </c>
      <c r="D1" s="1" t="s">
        <v>0</v>
      </c>
      <c r="E1" s="1" t="s">
        <v>13</v>
      </c>
      <c r="F1" s="1" t="s">
        <v>1</v>
      </c>
      <c r="G1" s="1" t="s">
        <v>2</v>
      </c>
      <c r="H1" s="1" t="s">
        <v>3</v>
      </c>
      <c r="I1" s="1" t="s">
        <v>5</v>
      </c>
      <c r="J1" s="1" t="s">
        <v>6</v>
      </c>
      <c r="K1" s="1" t="s">
        <v>21</v>
      </c>
    </row>
    <row r="2" spans="1:11" x14ac:dyDescent="0.3">
      <c r="A2" s="4" t="s">
        <v>27</v>
      </c>
      <c r="B2" s="10">
        <f>PRODUCT(9,K2)</f>
        <v>22.5</v>
      </c>
      <c r="C2" s="10">
        <f>PRODUCT(65,K2)</f>
        <v>162.5</v>
      </c>
      <c r="D2" s="10">
        <f>PRODUCT(23,K2)</f>
        <v>57.5</v>
      </c>
      <c r="E2" s="10">
        <v>0</v>
      </c>
      <c r="F2" s="10"/>
      <c r="G2" s="10"/>
      <c r="H2" s="10">
        <f>PRODUCT(475,K2)</f>
        <v>1187.5</v>
      </c>
      <c r="I2" s="11">
        <f>PRODUCT(16%,K2)</f>
        <v>0.4</v>
      </c>
      <c r="J2" s="11">
        <v>0.03</v>
      </c>
      <c r="K2" s="10">
        <v>2.5</v>
      </c>
    </row>
    <row r="3" spans="1:11" x14ac:dyDescent="0.3">
      <c r="A3" s="4" t="s">
        <v>30</v>
      </c>
      <c r="B3" s="10">
        <f>PRODUCT(1.75,K3)</f>
        <v>7</v>
      </c>
      <c r="C3" s="10">
        <f>PRODUCT(6,K3)</f>
        <v>24</v>
      </c>
      <c r="D3" s="10">
        <f>PRODUCT(5,K3)</f>
        <v>20</v>
      </c>
      <c r="E3" s="10">
        <v>0</v>
      </c>
      <c r="F3" s="10"/>
      <c r="G3" s="10"/>
      <c r="H3" s="10">
        <f>PRODUCT(72,K3)</f>
        <v>288</v>
      </c>
      <c r="I3" s="11">
        <f>PRODUCT(5%,K3)</f>
        <v>0.2</v>
      </c>
      <c r="J3" s="12">
        <f>PRODUCT(2.2%,K3)</f>
        <v>8.8000000000000009E-2</v>
      </c>
      <c r="K3" s="10">
        <v>4</v>
      </c>
    </row>
    <row r="4" spans="1:11" x14ac:dyDescent="0.3">
      <c r="A4" s="4" t="s">
        <v>45</v>
      </c>
      <c r="B4" s="10">
        <f>PRODUCT(12,K4)</f>
        <v>18</v>
      </c>
      <c r="C4" s="10">
        <f>PRODUCT(62,K4)</f>
        <v>93</v>
      </c>
      <c r="D4" s="10">
        <f>PRODUCT(18,K4)</f>
        <v>27</v>
      </c>
      <c r="E4" s="10">
        <v>0</v>
      </c>
      <c r="F4" s="10"/>
      <c r="G4" s="10"/>
      <c r="H4" s="10">
        <f>PRODUCT(435,K4)</f>
        <v>652.5</v>
      </c>
      <c r="I4" s="11">
        <f>PRODUCT(22%,K4)</f>
        <v>0.33</v>
      </c>
      <c r="J4" s="12">
        <f>PRODUCT(3.3%,K4)</f>
        <v>4.9500000000000002E-2</v>
      </c>
      <c r="K4" s="10">
        <v>1.5</v>
      </c>
    </row>
    <row r="5" spans="1:11" x14ac:dyDescent="0.3">
      <c r="A5" s="4" t="s">
        <v>57</v>
      </c>
      <c r="B5" s="10">
        <f>PRODUCT(4,K5)</f>
        <v>0</v>
      </c>
      <c r="C5" s="10">
        <f>PRODUCT(21,K5)</f>
        <v>0</v>
      </c>
      <c r="D5" s="10">
        <f>PRODUCT(14,K5)</f>
        <v>0</v>
      </c>
      <c r="E5" s="10">
        <v>0</v>
      </c>
      <c r="F5" s="10"/>
      <c r="G5" s="10"/>
      <c r="H5" s="10">
        <f>PRODUCT(220,K5)</f>
        <v>0</v>
      </c>
      <c r="I5" s="11">
        <f>PRODUCT(4,K5)</f>
        <v>0</v>
      </c>
      <c r="J5" s="12">
        <v>0</v>
      </c>
      <c r="K5" s="10">
        <v>0</v>
      </c>
    </row>
    <row r="6" spans="1:11" x14ac:dyDescent="0.3">
      <c r="A6" s="4" t="s">
        <v>44</v>
      </c>
      <c r="B6" s="10">
        <f>PRODUCT(8,K6)</f>
        <v>0</v>
      </c>
      <c r="C6" s="10">
        <f>PRODUCT(55,K6)</f>
        <v>0</v>
      </c>
      <c r="D6" s="10">
        <f>PRODUCT(35,K6)</f>
        <v>0</v>
      </c>
      <c r="E6" s="10">
        <v>0</v>
      </c>
      <c r="F6" s="10"/>
      <c r="G6" s="10"/>
      <c r="H6" s="10">
        <f>PRODUCT(535,K6)</f>
        <v>0</v>
      </c>
      <c r="I6" s="11">
        <f>PRODUCT(28%,K6)</f>
        <v>0</v>
      </c>
      <c r="J6" s="12">
        <f>PRODUCT(3.1%,K6)</f>
        <v>0</v>
      </c>
      <c r="K6" s="10">
        <v>0</v>
      </c>
    </row>
    <row r="7" spans="1:11" x14ac:dyDescent="0.3">
      <c r="A7" s="4" t="s">
        <v>43</v>
      </c>
      <c r="B7" s="10">
        <f>PRODUCT(8,K7)</f>
        <v>0</v>
      </c>
      <c r="C7" s="10">
        <f>PRODUCT(61,K7)</f>
        <v>0</v>
      </c>
      <c r="D7" s="10">
        <f>PRODUCT(39,K7)</f>
        <v>0</v>
      </c>
      <c r="E7" s="10">
        <v>0</v>
      </c>
      <c r="F7" s="10"/>
      <c r="G7" s="10"/>
      <c r="H7" s="10">
        <f>PRODUCT(617,K7)</f>
        <v>0</v>
      </c>
      <c r="I7" s="11">
        <f>PRODUCT(35%,K7)</f>
        <v>0</v>
      </c>
      <c r="J7" s="12">
        <f>PRODUCT(4.9%,K7)</f>
        <v>0</v>
      </c>
      <c r="K7" s="10">
        <v>0</v>
      </c>
    </row>
    <row r="8" spans="1:11" x14ac:dyDescent="0.3">
      <c r="A8" s="4" t="s">
        <v>20</v>
      </c>
      <c r="B8" s="10">
        <f>PRODUCT(16,K8)</f>
        <v>0</v>
      </c>
      <c r="C8" s="10">
        <f>PRODUCT(129,K8)</f>
        <v>0</v>
      </c>
      <c r="D8" s="10">
        <f>PRODUCT(23,K8)</f>
        <v>0</v>
      </c>
      <c r="E8" s="10">
        <v>1</v>
      </c>
      <c r="F8" s="10"/>
      <c r="G8" s="10"/>
      <c r="H8" s="10">
        <f>PRODUCT(748,K8)</f>
        <v>0</v>
      </c>
      <c r="I8" s="11">
        <f>PRODUCT(160%,K8)</f>
        <v>0</v>
      </c>
      <c r="J8" s="10"/>
      <c r="K8" s="10">
        <v>0</v>
      </c>
    </row>
    <row r="9" spans="1:11" x14ac:dyDescent="0.3">
      <c r="A9" s="4" t="s">
        <v>28</v>
      </c>
      <c r="B9" s="10">
        <f>PRODUCT(2,K9)</f>
        <v>0</v>
      </c>
      <c r="C9" s="10">
        <f>PRODUCT(11,K9)</f>
        <v>0</v>
      </c>
      <c r="D9" s="10">
        <f>PRODUCT(23,K9)</f>
        <v>0</v>
      </c>
      <c r="E9" s="10">
        <v>0</v>
      </c>
      <c r="F9" s="10"/>
      <c r="G9" s="10"/>
      <c r="H9" s="10">
        <f>PRODUCT(254,K9)</f>
        <v>0</v>
      </c>
      <c r="I9" s="12">
        <f>PRODUCT(4.7%,K9)</f>
        <v>0</v>
      </c>
      <c r="J9" s="12">
        <f>PRODUCT(0.6%,K9)</f>
        <v>0</v>
      </c>
      <c r="K9" s="10">
        <v>0</v>
      </c>
    </row>
    <row r="10" spans="1:11" x14ac:dyDescent="0.3">
      <c r="A10" s="4" t="s">
        <v>29</v>
      </c>
      <c r="B10" s="10"/>
      <c r="C10" s="10"/>
      <c r="D10" s="10"/>
      <c r="E10" s="10"/>
      <c r="F10" s="10"/>
      <c r="G10" s="10"/>
      <c r="H10" s="10"/>
      <c r="I10" s="10"/>
      <c r="J10" s="11">
        <f>PRODUCT(200%,K10)</f>
        <v>1</v>
      </c>
      <c r="K10" s="10">
        <v>0.5</v>
      </c>
    </row>
    <row r="11" spans="1:11" x14ac:dyDescent="0.3">
      <c r="A11" s="4" t="s">
        <v>31</v>
      </c>
      <c r="B11" s="10">
        <v>0</v>
      </c>
      <c r="C11" s="10">
        <v>0</v>
      </c>
      <c r="D11" s="10">
        <f>PRODUCT(9,K11)</f>
        <v>36</v>
      </c>
      <c r="E11" s="10">
        <v>0</v>
      </c>
      <c r="F11" s="10"/>
      <c r="G11" s="10"/>
      <c r="H11" s="10"/>
      <c r="I11" s="10"/>
      <c r="J11" s="10"/>
      <c r="K11" s="10">
        <v>4</v>
      </c>
    </row>
    <row r="12" spans="1:11" x14ac:dyDescent="0.3">
      <c r="A12" s="3" t="s">
        <v>32</v>
      </c>
      <c r="B12" s="13">
        <v>0</v>
      </c>
      <c r="C12" s="13">
        <v>0</v>
      </c>
      <c r="D12" s="13">
        <v>0</v>
      </c>
      <c r="E12" s="13">
        <f>PRODUCT(9,K12)</f>
        <v>18</v>
      </c>
      <c r="F12" s="13"/>
      <c r="G12" s="13"/>
      <c r="H12" s="13">
        <f>PRODUCT(5,K12)</f>
        <v>10</v>
      </c>
      <c r="I12" s="13">
        <v>0</v>
      </c>
      <c r="J12" s="13">
        <v>0</v>
      </c>
      <c r="K12" s="13">
        <v>2</v>
      </c>
    </row>
    <row r="13" spans="1:11" x14ac:dyDescent="0.3">
      <c r="A13" s="4" t="s">
        <v>14</v>
      </c>
      <c r="B13" s="10">
        <f>PRODUCT(6,K13)</f>
        <v>4.1999999999999993</v>
      </c>
      <c r="C13" s="10">
        <v>0</v>
      </c>
      <c r="D13" s="10">
        <v>0</v>
      </c>
      <c r="E13" s="10">
        <f>PRODUCT(13,K13)</f>
        <v>9.1</v>
      </c>
      <c r="F13" s="10"/>
      <c r="G13" s="10"/>
      <c r="H13" s="10">
        <f>PRODUCT(55,K13)</f>
        <v>38.5</v>
      </c>
      <c r="I13" s="10"/>
      <c r="J13" s="10"/>
      <c r="K13" s="10">
        <v>0.7</v>
      </c>
    </row>
    <row r="14" spans="1:11" x14ac:dyDescent="0.3">
      <c r="A14" s="4" t="s">
        <v>9</v>
      </c>
      <c r="B14" s="10">
        <f>PRODUCT(6,K14)</f>
        <v>4.1999999999999993</v>
      </c>
      <c r="C14" s="10">
        <v>0</v>
      </c>
      <c r="D14" s="10">
        <v>0</v>
      </c>
      <c r="E14" s="10">
        <f>PRODUCT(25,K14)</f>
        <v>17.5</v>
      </c>
      <c r="F14" s="10"/>
      <c r="G14" s="10"/>
      <c r="H14" s="10">
        <f>PRODUCT(95,K14)</f>
        <v>66.5</v>
      </c>
      <c r="I14" s="10"/>
      <c r="J14" s="10"/>
      <c r="K14" s="10">
        <v>0.7</v>
      </c>
    </row>
    <row r="15" spans="1:11" x14ac:dyDescent="0.3">
      <c r="A15" s="3" t="s">
        <v>10</v>
      </c>
      <c r="B15" s="13">
        <f>PRODUCT(6,K15)</f>
        <v>3</v>
      </c>
      <c r="C15" s="13">
        <f>PRODUCT(7,K15)</f>
        <v>3.5</v>
      </c>
      <c r="D15" s="13">
        <f>PRODUCT(2,K15)</f>
        <v>1</v>
      </c>
      <c r="E15" s="13">
        <f>PRODUCT(32,K15)</f>
        <v>16</v>
      </c>
      <c r="F15" s="13"/>
      <c r="G15" s="13"/>
      <c r="H15" s="13">
        <f>PRODUCT(168,K15)</f>
        <v>84</v>
      </c>
      <c r="I15" s="13"/>
      <c r="J15" s="14">
        <f>PRODUCT(14%,K15)</f>
        <v>7.0000000000000007E-2</v>
      </c>
      <c r="K15" s="13">
        <v>0.5</v>
      </c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5">
        <f>SUM(I2:I15)</f>
        <v>0.93000000000000016</v>
      </c>
      <c r="J16" s="5">
        <f>SUM(J2:J15)</f>
        <v>1.2375</v>
      </c>
      <c r="K16" s="4"/>
    </row>
    <row r="17" spans="1:11" x14ac:dyDescent="0.3">
      <c r="A17" s="2" t="s">
        <v>11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4" t="s">
        <v>36</v>
      </c>
      <c r="B18" s="10"/>
      <c r="C18" s="10">
        <f>SUM(H2:H15)</f>
        <v>2327</v>
      </c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3" t="s">
        <v>17</v>
      </c>
      <c r="B19" s="13"/>
      <c r="C19" s="13">
        <f>SUM(C2:C15)</f>
        <v>283</v>
      </c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3" t="s">
        <v>16</v>
      </c>
      <c r="B20" s="13"/>
      <c r="C20" s="13">
        <f>SUM(D2:D15)</f>
        <v>141.5</v>
      </c>
      <c r="D20" s="2"/>
      <c r="E20" s="2"/>
      <c r="F20" s="2"/>
      <c r="G20" s="2"/>
      <c r="H20" s="2"/>
      <c r="I20" s="2"/>
      <c r="J20" s="2"/>
      <c r="K20" s="2"/>
    </row>
    <row r="21" spans="1:11" x14ac:dyDescent="0.3">
      <c r="A21" s="4" t="s">
        <v>15</v>
      </c>
      <c r="B21" s="10"/>
      <c r="C21" s="10">
        <f>SUM(E2:E15)-E12</f>
        <v>43.6</v>
      </c>
      <c r="D21" s="2"/>
      <c r="E21" s="2"/>
      <c r="F21" s="2"/>
      <c r="G21" s="2"/>
      <c r="H21" s="2"/>
      <c r="I21" s="2"/>
      <c r="J21" s="2"/>
      <c r="K21" s="2"/>
    </row>
    <row r="22" spans="1:11" x14ac:dyDescent="0.3">
      <c r="A22" s="3" t="s">
        <v>34</v>
      </c>
      <c r="B22" s="13">
        <f>E12</f>
        <v>18</v>
      </c>
      <c r="C22" s="13"/>
      <c r="D22" s="2"/>
      <c r="E22" s="2"/>
      <c r="F22" s="2"/>
      <c r="G22" s="2"/>
      <c r="H22" s="2"/>
      <c r="I22" s="2"/>
      <c r="J22" s="2"/>
      <c r="K22" s="2"/>
    </row>
    <row r="23" spans="1:11" x14ac:dyDescent="0.3">
      <c r="A23" s="2" t="s">
        <v>8</v>
      </c>
      <c r="B23" s="15">
        <f>SUM(B2:B15)</f>
        <v>58.900000000000006</v>
      </c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4" t="s">
        <v>22</v>
      </c>
      <c r="B24" s="10">
        <f>SUM(C19:C21)</f>
        <v>468.1</v>
      </c>
      <c r="C24" s="6" t="s">
        <v>23</v>
      </c>
      <c r="D24" s="7">
        <f>C19/B24*100</f>
        <v>60.457167271950439</v>
      </c>
      <c r="E24" s="6" t="s">
        <v>24</v>
      </c>
      <c r="F24" s="7">
        <f>C20/B24*100</f>
        <v>30.22858363597522</v>
      </c>
      <c r="G24" s="6" t="s">
        <v>25</v>
      </c>
      <c r="H24" s="8">
        <f>C21/B24*100</f>
        <v>9.314249092074343</v>
      </c>
      <c r="I24" s="9" t="s">
        <v>33</v>
      </c>
      <c r="J24" s="8">
        <f>(B22/B24)*100</f>
        <v>3.8453321939756457</v>
      </c>
      <c r="K24" s="2"/>
    </row>
    <row r="25" spans="1:11" x14ac:dyDescent="0.3">
      <c r="A25" s="3" t="s">
        <v>35</v>
      </c>
      <c r="B25" s="3" t="s">
        <v>35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3">
      <c r="A27" s="4" t="s">
        <v>26</v>
      </c>
      <c r="B27" s="16">
        <f>(B23/16)</f>
        <v>3.6812500000000004</v>
      </c>
      <c r="C27" s="10" t="s">
        <v>37</v>
      </c>
      <c r="D27" s="16">
        <f>C18/B27</f>
        <v>632.12224108658734</v>
      </c>
      <c r="E27" s="2"/>
      <c r="F27" s="2"/>
      <c r="G27" s="2"/>
      <c r="H27" s="2"/>
      <c r="I27" s="2"/>
      <c r="J27" s="2"/>
      <c r="K27" s="2"/>
    </row>
    <row r="28" spans="1:11" x14ac:dyDescent="0.3">
      <c r="A28" s="2"/>
      <c r="B28" s="15"/>
      <c r="C28" s="15"/>
      <c r="D28" s="15"/>
      <c r="E28" s="2"/>
      <c r="F28" s="2"/>
      <c r="G28" s="2"/>
      <c r="H28" s="2"/>
      <c r="I28" s="2"/>
      <c r="J28" s="2"/>
      <c r="K28" s="2"/>
    </row>
    <row r="29" spans="1:11" x14ac:dyDescent="0.3">
      <c r="A29" s="4" t="s">
        <v>18</v>
      </c>
      <c r="B29" s="11">
        <f>I16</f>
        <v>0.93000000000000016</v>
      </c>
      <c r="C29" s="15"/>
      <c r="D29" s="15"/>
      <c r="E29" s="2"/>
      <c r="F29" s="2"/>
      <c r="G29" s="2"/>
      <c r="H29" s="2"/>
      <c r="I29" s="2"/>
      <c r="J29" s="2"/>
      <c r="K29" s="2"/>
    </row>
    <row r="30" spans="1:11" x14ac:dyDescent="0.3">
      <c r="A30" s="3" t="s">
        <v>19</v>
      </c>
      <c r="B30" s="14">
        <f>J16</f>
        <v>1.2375</v>
      </c>
      <c r="C30" s="15"/>
      <c r="D30" s="15"/>
      <c r="E30" s="2"/>
      <c r="F30" s="2"/>
      <c r="G30" s="2"/>
      <c r="H30" s="2"/>
      <c r="I30" s="2"/>
      <c r="J30" s="2"/>
      <c r="K30" s="2"/>
    </row>
    <row r="31" spans="1:1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28.8" x14ac:dyDescent="0.3">
      <c r="A32" s="4" t="s">
        <v>38</v>
      </c>
      <c r="B32" s="4" t="s">
        <v>39</v>
      </c>
      <c r="C32" s="4" t="s">
        <v>41</v>
      </c>
      <c r="D32" s="4" t="s">
        <v>40</v>
      </c>
      <c r="E32" s="10" t="s">
        <v>42</v>
      </c>
      <c r="F32" s="10" t="s">
        <v>55</v>
      </c>
      <c r="G32" s="16">
        <f>400/D27</f>
        <v>0.63278899871078653</v>
      </c>
      <c r="H32" s="15"/>
      <c r="I32" s="17" t="s">
        <v>56</v>
      </c>
      <c r="J32" s="2"/>
      <c r="K32" s="2"/>
    </row>
    <row r="33" spans="1:11" x14ac:dyDescent="0.3">
      <c r="A33" s="2"/>
      <c r="B33" s="2"/>
      <c r="C33" s="2"/>
      <c r="D33" s="2"/>
      <c r="E33" s="15" t="s">
        <v>47</v>
      </c>
      <c r="F33" s="15" t="s">
        <v>55</v>
      </c>
      <c r="G33" s="18">
        <f>G34/2</f>
        <v>2.5311559948431461</v>
      </c>
      <c r="H33" s="15"/>
      <c r="I33" s="18">
        <f t="shared" ref="I33:I41" si="0">((2*G33)/16 *7)/3.31</f>
        <v>0.66911223428633015</v>
      </c>
      <c r="J33" s="2"/>
      <c r="K33" s="2"/>
    </row>
    <row r="34" spans="1:11" x14ac:dyDescent="0.3">
      <c r="A34" s="4"/>
      <c r="B34" s="4"/>
      <c r="C34" s="4"/>
      <c r="D34" s="4"/>
      <c r="E34" s="10" t="s">
        <v>46</v>
      </c>
      <c r="F34" s="10" t="s">
        <v>55</v>
      </c>
      <c r="G34" s="19">
        <f>(G32*16)/2</f>
        <v>5.0623119896862923</v>
      </c>
      <c r="H34" s="13"/>
      <c r="I34" s="20">
        <f t="shared" si="0"/>
        <v>1.3382244685726603</v>
      </c>
      <c r="J34" s="3"/>
      <c r="K34" s="3"/>
    </row>
    <row r="35" spans="1:11" x14ac:dyDescent="0.3">
      <c r="E35" s="21" t="s">
        <v>48</v>
      </c>
      <c r="F35" s="21" t="s">
        <v>55</v>
      </c>
      <c r="G35" s="22">
        <f>(G33*3)</f>
        <v>7.5934679845294379</v>
      </c>
      <c r="H35" s="23"/>
      <c r="I35" s="22">
        <f t="shared" si="0"/>
        <v>2.0073367028589901</v>
      </c>
    </row>
    <row r="36" spans="1:11" x14ac:dyDescent="0.3">
      <c r="E36" s="21" t="s">
        <v>51</v>
      </c>
      <c r="F36" s="21" t="s">
        <v>55</v>
      </c>
      <c r="G36" s="22">
        <f>(G33*4)</f>
        <v>10.124623979372585</v>
      </c>
      <c r="H36" s="23"/>
      <c r="I36" s="22">
        <f t="shared" si="0"/>
        <v>2.6764489371453206</v>
      </c>
    </row>
    <row r="37" spans="1:11" x14ac:dyDescent="0.3">
      <c r="E37" s="21" t="s">
        <v>50</v>
      </c>
      <c r="F37" s="21" t="s">
        <v>55</v>
      </c>
      <c r="G37" s="22">
        <f>(G33*5)</f>
        <v>12.655779974215731</v>
      </c>
      <c r="H37" s="23"/>
      <c r="I37" s="22">
        <f t="shared" si="0"/>
        <v>3.3455611714316507</v>
      </c>
    </row>
    <row r="38" spans="1:11" x14ac:dyDescent="0.3">
      <c r="E38" s="21" t="s">
        <v>49</v>
      </c>
      <c r="F38" s="21" t="s">
        <v>55</v>
      </c>
      <c r="G38" s="22">
        <f>(G33*6)</f>
        <v>15.186935969058876</v>
      </c>
      <c r="H38" s="23"/>
      <c r="I38" s="22">
        <f t="shared" si="0"/>
        <v>4.0146734057179803</v>
      </c>
    </row>
    <row r="39" spans="1:11" x14ac:dyDescent="0.3">
      <c r="E39" s="21" t="s">
        <v>52</v>
      </c>
      <c r="F39" s="21" t="s">
        <v>55</v>
      </c>
      <c r="G39" s="22">
        <f>(G33*7)</f>
        <v>17.718091963902022</v>
      </c>
      <c r="H39" s="23"/>
      <c r="I39" s="22">
        <f t="shared" si="0"/>
        <v>4.6837856400043112</v>
      </c>
    </row>
    <row r="40" spans="1:11" x14ac:dyDescent="0.3">
      <c r="E40" s="21" t="s">
        <v>53</v>
      </c>
      <c r="F40" s="21" t="s">
        <v>55</v>
      </c>
      <c r="G40" s="22">
        <f>(G33*8)</f>
        <v>20.249247958745169</v>
      </c>
      <c r="H40" s="23"/>
      <c r="I40" s="22">
        <f t="shared" si="0"/>
        <v>5.3528978742906412</v>
      </c>
    </row>
    <row r="41" spans="1:11" x14ac:dyDescent="0.3">
      <c r="E41" s="21" t="s">
        <v>54</v>
      </c>
      <c r="F41" s="21" t="s">
        <v>55</v>
      </c>
      <c r="G41" s="22">
        <f>(G33*9)</f>
        <v>22.780403953588316</v>
      </c>
      <c r="H41" s="23"/>
      <c r="I41" s="22">
        <f t="shared" si="0"/>
        <v>6.0220101085769713</v>
      </c>
    </row>
  </sheetData>
  <pageMargins left="0.7" right="0.7" top="0.75" bottom="0.7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2019-04-13T17:46:33Z</cp:lastPrinted>
  <dcterms:created xsi:type="dcterms:W3CDTF">2019-04-11T16:16:50Z</dcterms:created>
  <dcterms:modified xsi:type="dcterms:W3CDTF">2019-05-11T13:56:30Z</dcterms:modified>
</cp:coreProperties>
</file>